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840" activeTab="0"/>
  </bookViews>
  <sheets>
    <sheet name="смета " sheetId="1" r:id="rId1"/>
    <sheet name="расчет " sheetId="2" r:id="rId2"/>
  </sheets>
  <definedNames>
    <definedName name="OLE_LINK1" localSheetId="0">'смета '!$A$10</definedName>
    <definedName name="_xlnm.Print_Area" localSheetId="0">'смета '!$A$1:$D$49</definedName>
  </definedNames>
  <calcPr fullCalcOnLoad="1"/>
</workbook>
</file>

<file path=xl/sharedStrings.xml><?xml version="1.0" encoding="utf-8"?>
<sst xmlns="http://schemas.openxmlformats.org/spreadsheetml/2006/main" count="156" uniqueCount="130">
  <si>
    <t>СМЕТА</t>
  </si>
  <si>
    <t>на дополнительную платную образовательную услугу:</t>
  </si>
  <si>
    <t>в месяц</t>
  </si>
  <si>
    <t>Общая стоимость услуг:</t>
  </si>
  <si>
    <t xml:space="preserve"> Стоимость одного абонента в месяц по услугам кружка</t>
  </si>
  <si>
    <t>СОГЛАСОВАНО:</t>
  </si>
  <si>
    <t>Главный бухгалтер</t>
  </si>
  <si>
    <t>_________________</t>
  </si>
  <si>
    <t>УТВЕРЖДАЮ</t>
  </si>
  <si>
    <t>час</t>
  </si>
  <si>
    <t>чел</t>
  </si>
  <si>
    <t>Число занимающихся</t>
  </si>
  <si>
    <t xml:space="preserve"> мес</t>
  </si>
  <si>
    <t xml:space="preserve">Затраты на выполнение прямых расходов </t>
  </si>
  <si>
    <t>Оплата преподователям по договорам возмездного оказания услуг:</t>
  </si>
  <si>
    <t xml:space="preserve">Оплата по договорам подряда : </t>
  </si>
  <si>
    <t xml:space="preserve">                                          Осолодкова Е.В.</t>
  </si>
  <si>
    <t>Прочие материальные расходы :</t>
  </si>
  <si>
    <t>Итого:</t>
  </si>
  <si>
    <t xml:space="preserve">Затраты на выполнение прочих расходов </t>
  </si>
  <si>
    <t>страховые взносы 27,10%</t>
  </si>
  <si>
    <t>страховые вносы  27,10%</t>
  </si>
  <si>
    <t>п/п</t>
  </si>
  <si>
    <t>Куратор</t>
  </si>
  <si>
    <t>итого</t>
  </si>
  <si>
    <t xml:space="preserve">Наименование материальных запасов </t>
  </si>
  <si>
    <t xml:space="preserve">Единица измерения  </t>
  </si>
  <si>
    <t xml:space="preserve">Расход ( в ед измерения) </t>
  </si>
  <si>
    <t xml:space="preserve">Цена за единицу </t>
  </si>
  <si>
    <t>шт</t>
  </si>
  <si>
    <t>Деева И.А.</t>
  </si>
  <si>
    <t>куратор</t>
  </si>
  <si>
    <t>Прямые затраты</t>
  </si>
  <si>
    <t xml:space="preserve">На нужды учереждению </t>
  </si>
  <si>
    <t xml:space="preserve">Прочие расходы </t>
  </si>
  <si>
    <t>комуналка</t>
  </si>
  <si>
    <t>Утверждаю:</t>
  </si>
  <si>
    <t>Расчетные данные:</t>
  </si>
  <si>
    <t>Количество детей</t>
  </si>
  <si>
    <t xml:space="preserve">человек </t>
  </si>
  <si>
    <t>№ 
п/п</t>
  </si>
  <si>
    <t>Должность</t>
  </si>
  <si>
    <t xml:space="preserve">
Договорная стоимость 
1 часа
 (руб.)</t>
  </si>
  <si>
    <t>Страховые 
взносы 27,1%
(руб.)</t>
  </si>
  <si>
    <t>Договорная стоимость 1 часа,с начислениями (руб.)</t>
  </si>
  <si>
    <t>Норма времени на оказание платной услуги 
(часов)</t>
  </si>
  <si>
    <t>Затраты на оплату труда персонала в месяц 
(руб.)</t>
  </si>
  <si>
    <t>В месяц</t>
  </si>
  <si>
    <t xml:space="preserve"> 3.Расчет суммы начисленной амортизации оборудования</t>
  </si>
  <si>
    <t>Наименования оборудования</t>
  </si>
  <si>
    <t>Балансовая стоимость</t>
  </si>
  <si>
    <t>Годовая норма износа(%)</t>
  </si>
  <si>
    <t>Годовая норма времени работы оборудования (час)</t>
  </si>
  <si>
    <t>Время работы оборудования впроцессе оказания платной услуги (час)</t>
  </si>
  <si>
    <t>Сумма начисленной амортизации</t>
  </si>
  <si>
    <t xml:space="preserve">
Договорная стоимость 
 (руб.)</t>
  </si>
  <si>
    <t>Договорная стоимость,с начислениями (руб.)</t>
  </si>
  <si>
    <t>Расчет затрат на коммунальные услуги</t>
  </si>
  <si>
    <t>Выделенные плановые субсидии по электроэнергии на год</t>
  </si>
  <si>
    <t>Пощадь детского сада кв.м.</t>
  </si>
  <si>
    <t>Площадь проведения занятий кв.м.</t>
  </si>
  <si>
    <t>Количество месяцев в году</t>
  </si>
  <si>
    <t>Среднегодовое количество рабочих дней</t>
  </si>
  <si>
    <t>Затраты по электроэнергии</t>
  </si>
  <si>
    <t>Выделенные плановые субсидии по водоснабжению на год</t>
  </si>
  <si>
    <t>Затраты по водоснабжению</t>
  </si>
  <si>
    <t>Затраты по коммунальным услугам</t>
  </si>
  <si>
    <t>4.Расчет цены на оказание платной услуги</t>
  </si>
  <si>
    <t>№ п/п</t>
  </si>
  <si>
    <t>Наименование статей затрат</t>
  </si>
  <si>
    <t>Сумма 
(руб.)</t>
  </si>
  <si>
    <t>Прогноз затрат на администротивно-управленческий  персонал</t>
  </si>
  <si>
    <t>Прогноз затрат общехозяйственного назначения</t>
  </si>
  <si>
    <t>Прогноз суммы начисленной амортизации оборудования</t>
  </si>
  <si>
    <t>Прогноз затрат суммарного фонда оплаты  труда основного персонала</t>
  </si>
  <si>
    <t xml:space="preserve"> Коэффициент накладных затрат</t>
  </si>
  <si>
    <t>Затраты на основной персонал</t>
  </si>
  <si>
    <t>Итого накладные расходы</t>
  </si>
  <si>
    <t xml:space="preserve"> 5.Расчет цены на оказание платной услуги</t>
  </si>
  <si>
    <t>Затраты на оплату труда основного персонала</t>
  </si>
  <si>
    <t>Затраты материальных запасов</t>
  </si>
  <si>
    <t>Накладные затраты.относимые на платную услугу, в том числе коммунальные услуги</t>
  </si>
  <si>
    <t>Итого затрат на услугу</t>
  </si>
  <si>
    <t>Количество потребителей услуги</t>
  </si>
  <si>
    <t>Цена за платную услугу</t>
  </si>
  <si>
    <t xml:space="preserve">Продолжительность занятий   </t>
  </si>
  <si>
    <t xml:space="preserve">по договорной стоимости                                                                            1ч </t>
  </si>
  <si>
    <t>* 8</t>
  </si>
  <si>
    <t>оплата по договору возмездного оказания услуг куратора                           1ч</t>
  </si>
  <si>
    <t xml:space="preserve">Начальник планово - экономического отдела структурного подразделения МКУ "ЦОДОО" по Ленинскому району </t>
  </si>
  <si>
    <t xml:space="preserve"> Холодное водоснабжение и водоотведение </t>
  </si>
  <si>
    <t xml:space="preserve">Исполняющий обязаности начальника структурного подразделения МКУ "ЦОДОО" по Ленинскому району </t>
  </si>
  <si>
    <t xml:space="preserve">Расчет: </t>
  </si>
  <si>
    <t xml:space="preserve">Итого по договорной стоимости  на оказание услуг преподавателя </t>
  </si>
  <si>
    <t>Расчет затрат на оплату труда кружок административно-управленческого                                                                
 и учебно-вспомогательного персонала</t>
  </si>
  <si>
    <t>( на 1 чел) * 8</t>
  </si>
  <si>
    <t xml:space="preserve">гл. бухгалтер </t>
  </si>
  <si>
    <t>Гл.бухгалтер</t>
  </si>
  <si>
    <t xml:space="preserve">Всего затрат на материальные запасы8 мес </t>
  </si>
  <si>
    <t xml:space="preserve">Количество часов по учебному плану в месяц (1ч х 4 дней)                    </t>
  </si>
  <si>
    <t>* 8час</t>
  </si>
  <si>
    <t>*8</t>
  </si>
  <si>
    <t xml:space="preserve">расход на приобретение МЗ    </t>
  </si>
  <si>
    <t xml:space="preserve">    1.Расчет затрат на оплату труда персонала кружок "Лего конструирование"</t>
  </si>
  <si>
    <t xml:space="preserve"> 2.Расчет затрат на материальные запасы  кружок "Лего конструирование "</t>
  </si>
  <si>
    <t>Воспитатель</t>
  </si>
  <si>
    <t>Конструктор ЛЕГО</t>
  </si>
  <si>
    <t>Количество часов функционирования МБДОУ</t>
  </si>
  <si>
    <t>оплата по договору возмездного оказания услуг  гл. бухгалтера                      1ч</t>
  </si>
  <si>
    <t>кружок «Мир-ЛЕГО»</t>
  </si>
  <si>
    <t>оплата по договору возмездного оказания услуг зам.гл.бухгалтера    1ч</t>
  </si>
  <si>
    <t xml:space="preserve">       </t>
  </si>
  <si>
    <t>Заведующий МБДОУ_________Шебодаева О.В.</t>
  </si>
  <si>
    <t>Муниципальное бюджетное дошкольное образовательное учреждение " Детский сад  № 315 г.Челябинска"</t>
  </si>
  <si>
    <t>Заведующий МБДОУ "ДС № 315 г.Челябинска"</t>
  </si>
  <si>
    <t>_________Шебодаева О.В.</t>
  </si>
  <si>
    <t xml:space="preserve">на 2020- 2021 учебный год </t>
  </si>
  <si>
    <t>15.09.2020г.</t>
  </si>
  <si>
    <t>зам.гл.бух.,вед.бух.</t>
  </si>
  <si>
    <t>Ибрагимова М.Р.</t>
  </si>
  <si>
    <t>/3196,8*10,15/12/21/12*8</t>
  </si>
  <si>
    <t>10,15 кв м.:</t>
  </si>
  <si>
    <t>Комунальные расходы  кабинета (8 гр.)</t>
  </si>
  <si>
    <t>/3196,8*10,15/12/21/12*124</t>
  </si>
  <si>
    <t>оплата по договору возмездного оказания услуг  уборщика служебных помещений 1ч</t>
  </si>
  <si>
    <t>уборщ.служ.помещ.</t>
  </si>
  <si>
    <t>Бухгалтерия</t>
  </si>
  <si>
    <t>Уборщик служебных помещ.</t>
  </si>
  <si>
    <t xml:space="preserve">Электроэнергия </t>
  </si>
  <si>
    <t>Количество часов  по  учебному плану в месяц 8 занятий 4 подгруппы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</si>
</sst>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00"/>
    <numFmt numFmtId="179" formatCode="#,##0.000000000"/>
    <numFmt numFmtId="180" formatCode="0.0%"/>
    <numFmt numFmtId="181" formatCode="#,##0.0000000000"/>
    <numFmt numFmtId="182" formatCode="#,##0.00000000"/>
    <numFmt numFmtId="183" formatCode="#,##0.0000000"/>
    <numFmt numFmtId="184" formatCode="#,##0.000000"/>
    <numFmt numFmtId="185" formatCode="#,##0.00000"/>
    <numFmt numFmtId="186" formatCode="#,##0.0000"/>
    <numFmt numFmtId="187" formatCode="#,##0.0"/>
    <numFmt numFmtId="188" formatCode="0.000%"/>
    <numFmt numFmtId="189" formatCode="0.0000%"/>
    <numFmt numFmtId="190" formatCode="0.00000000"/>
    <numFmt numFmtId="191" formatCode="0.00000%"/>
    <numFmt numFmtId="192" formatCode="0.000000%"/>
    <numFmt numFmtId="193" formatCode="0.0000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000000000000"/>
    <numFmt numFmtId="199" formatCode="0.000000000%"/>
  </numFmts>
  <fonts count="8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47"/>
      <name val="Arial Cyr"/>
      <family val="0"/>
    </font>
    <font>
      <i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9" tint="0.7999799847602844"/>
      <name val="Arial Cyr"/>
      <family val="0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9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2" fontId="0" fillId="0" borderId="18" xfId="0" applyNumberFormat="1" applyBorder="1" applyAlignment="1">
      <alignment/>
    </xf>
    <xf numFmtId="0" fontId="2" fillId="0" borderId="23" xfId="0" applyFont="1" applyBorder="1" applyAlignment="1">
      <alignment vertical="top" wrapText="1"/>
    </xf>
    <xf numFmtId="2" fontId="67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/>
    </xf>
    <xf numFmtId="0" fontId="0" fillId="0" borderId="30" xfId="0" applyBorder="1" applyAlignment="1">
      <alignment wrapText="1"/>
    </xf>
    <xf numFmtId="2" fontId="0" fillId="0" borderId="30" xfId="0" applyNumberFormat="1" applyBorder="1" applyAlignment="1">
      <alignment/>
    </xf>
    <xf numFmtId="2" fontId="68" fillId="0" borderId="30" xfId="0" applyNumberFormat="1" applyFont="1" applyBorder="1" applyAlignment="1">
      <alignment/>
    </xf>
    <xf numFmtId="2" fontId="68" fillId="0" borderId="31" xfId="0" applyNumberFormat="1" applyFont="1" applyBorder="1" applyAlignment="1">
      <alignment/>
    </xf>
    <xf numFmtId="2" fontId="68" fillId="0" borderId="14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8" fillId="0" borderId="22" xfId="0" applyFont="1" applyBorder="1" applyAlignment="1">
      <alignment/>
    </xf>
    <xf numFmtId="2" fontId="70" fillId="0" borderId="19" xfId="0" applyNumberFormat="1" applyFont="1" applyBorder="1" applyAlignment="1">
      <alignment/>
    </xf>
    <xf numFmtId="0" fontId="71" fillId="0" borderId="0" xfId="0" applyFont="1" applyAlignment="1">
      <alignment horizontal="center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33" xfId="0" applyFont="1" applyBorder="1" applyAlignment="1">
      <alignment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left"/>
    </xf>
    <xf numFmtId="0" fontId="68" fillId="0" borderId="35" xfId="0" applyFont="1" applyBorder="1" applyAlignment="1">
      <alignment horizontal="center"/>
    </xf>
    <xf numFmtId="1" fontId="68" fillId="0" borderId="35" xfId="0" applyNumberFormat="1" applyFont="1" applyBorder="1" applyAlignment="1">
      <alignment horizontal="center"/>
    </xf>
    <xf numFmtId="0" fontId="68" fillId="0" borderId="35" xfId="0" applyFont="1" applyBorder="1" applyAlignment="1">
      <alignment/>
    </xf>
    <xf numFmtId="0" fontId="68" fillId="0" borderId="21" xfId="0" applyFont="1" applyBorder="1" applyAlignment="1">
      <alignment horizontal="center"/>
    </xf>
    <xf numFmtId="1" fontId="68" fillId="0" borderId="21" xfId="0" applyNumberFormat="1" applyFont="1" applyBorder="1" applyAlignment="1">
      <alignment horizontal="center"/>
    </xf>
    <xf numFmtId="0" fontId="68" fillId="0" borderId="21" xfId="0" applyFont="1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8" fillId="0" borderId="19" xfId="0" applyFont="1" applyBorder="1" applyAlignment="1">
      <alignment horizontal="right" vertical="center" wrapText="1"/>
    </xf>
    <xf numFmtId="0" fontId="68" fillId="0" borderId="19" xfId="0" applyFont="1" applyBorder="1" applyAlignment="1">
      <alignment horizontal="left" vertical="center"/>
    </xf>
    <xf numFmtId="2" fontId="10" fillId="0" borderId="19" xfId="0" applyNumberFormat="1" applyFont="1" applyBorder="1" applyAlignment="1">
      <alignment horizontal="right" vertical="top" wrapText="1"/>
    </xf>
    <xf numFmtId="2" fontId="68" fillId="0" borderId="19" xfId="0" applyNumberFormat="1" applyFont="1" applyBorder="1" applyAlignment="1">
      <alignment horizontal="right" vertical="center" wrapText="1"/>
    </xf>
    <xf numFmtId="0" fontId="68" fillId="0" borderId="18" xfId="0" applyFont="1" applyBorder="1" applyAlignment="1">
      <alignment/>
    </xf>
    <xf numFmtId="2" fontId="73" fillId="0" borderId="36" xfId="0" applyNumberFormat="1" applyFont="1" applyBorder="1" applyAlignment="1">
      <alignment/>
    </xf>
    <xf numFmtId="0" fontId="68" fillId="0" borderId="0" xfId="0" applyFont="1" applyBorder="1" applyAlignment="1">
      <alignment horizontal="center"/>
    </xf>
    <xf numFmtId="2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24" xfId="0" applyFont="1" applyBorder="1" applyAlignment="1">
      <alignment/>
    </xf>
    <xf numFmtId="0" fontId="68" fillId="0" borderId="17" xfId="0" applyFont="1" applyBorder="1" applyAlignment="1">
      <alignment/>
    </xf>
    <xf numFmtId="176" fontId="68" fillId="0" borderId="0" xfId="0" applyNumberFormat="1" applyFont="1" applyBorder="1" applyAlignment="1">
      <alignment/>
    </xf>
    <xf numFmtId="1" fontId="68" fillId="0" borderId="17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2" fontId="68" fillId="0" borderId="17" xfId="0" applyNumberFormat="1" applyFont="1" applyBorder="1" applyAlignment="1">
      <alignment/>
    </xf>
    <xf numFmtId="0" fontId="73" fillId="0" borderId="17" xfId="0" applyFont="1" applyBorder="1" applyAlignment="1">
      <alignment/>
    </xf>
    <xf numFmtId="0" fontId="68" fillId="0" borderId="37" xfId="0" applyFont="1" applyBorder="1" applyAlignment="1">
      <alignment/>
    </xf>
    <xf numFmtId="2" fontId="73" fillId="0" borderId="38" xfId="0" applyNumberFormat="1" applyFont="1" applyBorder="1" applyAlignment="1">
      <alignment/>
    </xf>
    <xf numFmtId="0" fontId="68" fillId="0" borderId="20" xfId="0" applyFont="1" applyBorder="1" applyAlignment="1">
      <alignment/>
    </xf>
    <xf numFmtId="2" fontId="73" fillId="0" borderId="22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68" fillId="0" borderId="18" xfId="0" applyFont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4" fontId="7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9" fontId="2" fillId="0" borderId="11" xfId="0" applyNumberFormat="1" applyFont="1" applyBorder="1" applyAlignment="1">
      <alignment horizontal="left" vertical="top" wrapText="1"/>
    </xf>
    <xf numFmtId="0" fontId="2" fillId="0" borderId="39" xfId="0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68" fillId="0" borderId="23" xfId="0" applyFont="1" applyBorder="1" applyAlignment="1">
      <alignment wrapText="1"/>
    </xf>
    <xf numFmtId="2" fontId="68" fillId="0" borderId="11" xfId="0" applyNumberFormat="1" applyFont="1" applyBorder="1" applyAlignment="1">
      <alignment wrapText="1"/>
    </xf>
    <xf numFmtId="0" fontId="68" fillId="0" borderId="39" xfId="0" applyFont="1" applyBorder="1" applyAlignment="1">
      <alignment wrapText="1"/>
    </xf>
    <xf numFmtId="176" fontId="68" fillId="0" borderId="40" xfId="0" applyNumberFormat="1" applyFont="1" applyBorder="1" applyAlignment="1">
      <alignment/>
    </xf>
    <xf numFmtId="176" fontId="73" fillId="0" borderId="31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18" xfId="0" applyFont="1" applyBorder="1" applyAlignment="1">
      <alignment/>
    </xf>
    <xf numFmtId="2" fontId="68" fillId="0" borderId="0" xfId="0" applyNumberFormat="1" applyFont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9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4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justify" vertical="top" wrapText="1"/>
    </xf>
    <xf numFmtId="0" fontId="3" fillId="0" borderId="45" xfId="0" applyFont="1" applyBorder="1" applyAlignment="1">
      <alignment horizontal="justify" vertical="top" wrapText="1"/>
    </xf>
    <xf numFmtId="0" fontId="3" fillId="0" borderId="45" xfId="0" applyFont="1" applyBorder="1" applyAlignment="1">
      <alignment horizontal="center" vertical="top" wrapText="1"/>
    </xf>
    <xf numFmtId="2" fontId="3" fillId="0" borderId="3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2" fontId="2" fillId="0" borderId="41" xfId="0" applyNumberFormat="1" applyFont="1" applyBorder="1" applyAlignment="1">
      <alignment horizontal="center" vertical="top" wrapText="1"/>
    </xf>
    <xf numFmtId="0" fontId="14" fillId="0" borderId="47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9" fontId="2" fillId="0" borderId="48" xfId="0" applyNumberFormat="1" applyFont="1" applyBorder="1" applyAlignment="1">
      <alignment horizontal="center" vertical="top" wrapText="1"/>
    </xf>
    <xf numFmtId="2" fontId="14" fillId="0" borderId="49" xfId="0" applyNumberFormat="1" applyFont="1" applyBorder="1" applyAlignment="1">
      <alignment horizontal="center" vertical="top" wrapText="1"/>
    </xf>
    <xf numFmtId="2" fontId="76" fillId="0" borderId="50" xfId="0" applyNumberFormat="1" applyFont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2" fontId="14" fillId="0" borderId="18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2" fontId="77" fillId="0" borderId="33" xfId="0" applyNumberFormat="1" applyFont="1" applyBorder="1" applyAlignment="1">
      <alignment horizontal="center" vertical="top" wrapText="1"/>
    </xf>
    <xf numFmtId="2" fontId="2" fillId="0" borderId="51" xfId="0" applyNumberFormat="1" applyFont="1" applyBorder="1" applyAlignment="1">
      <alignment horizontal="center" vertical="top" wrapText="1"/>
    </xf>
    <xf numFmtId="2" fontId="78" fillId="0" borderId="5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2" fontId="7" fillId="0" borderId="0" xfId="0" applyNumberFormat="1" applyFont="1" applyAlignment="1">
      <alignment horizontal="center" vertical="top" wrapText="1"/>
    </xf>
    <xf numFmtId="175" fontId="2" fillId="0" borderId="11" xfId="0" applyNumberFormat="1" applyFont="1" applyBorder="1" applyAlignment="1">
      <alignment vertical="top" wrapText="1"/>
    </xf>
    <xf numFmtId="2" fontId="13" fillId="0" borderId="0" xfId="0" applyNumberFormat="1" applyFont="1" applyAlignment="1">
      <alignment horizontal="center" vertical="top"/>
    </xf>
    <xf numFmtId="0" fontId="79" fillId="0" borderId="0" xfId="0" applyFont="1" applyAlignment="1">
      <alignment horizontal="justify" vertical="top" wrapText="1"/>
    </xf>
    <xf numFmtId="0" fontId="80" fillId="0" borderId="0" xfId="0" applyFont="1" applyAlignment="1">
      <alignment/>
    </xf>
    <xf numFmtId="0" fontId="77" fillId="0" borderId="0" xfId="0" applyFont="1" applyAlignment="1">
      <alignment horizontal="center" vertical="top" wrapText="1"/>
    </xf>
    <xf numFmtId="0" fontId="77" fillId="0" borderId="0" xfId="0" applyFont="1" applyAlignment="1">
      <alignment horizontal="justify" vertical="top" wrapText="1"/>
    </xf>
    <xf numFmtId="0" fontId="77" fillId="0" borderId="0" xfId="0" applyFont="1" applyAlignment="1">
      <alignment horizontal="center" wrapText="1"/>
    </xf>
    <xf numFmtId="192" fontId="12" fillId="0" borderId="0" xfId="0" applyNumberFormat="1" applyFont="1" applyAlignment="1">
      <alignment/>
    </xf>
    <xf numFmtId="2" fontId="68" fillId="0" borderId="35" xfId="0" applyNumberFormat="1" applyFont="1" applyBorder="1" applyAlignment="1">
      <alignment horizontal="right" vertical="center" wrapText="1"/>
    </xf>
    <xf numFmtId="177" fontId="12" fillId="0" borderId="0" xfId="0" applyNumberFormat="1" applyFont="1" applyAlignment="1">
      <alignment/>
    </xf>
    <xf numFmtId="0" fontId="68" fillId="0" borderId="40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68" fillId="33" borderId="17" xfId="0" applyNumberFormat="1" applyFont="1" applyFill="1" applyBorder="1" applyAlignment="1">
      <alignment/>
    </xf>
    <xf numFmtId="0" fontId="68" fillId="0" borderId="53" xfId="0" applyFont="1" applyBorder="1" applyAlignment="1">
      <alignment/>
    </xf>
    <xf numFmtId="2" fontId="10" fillId="0" borderId="35" xfId="0" applyNumberFormat="1" applyFont="1" applyBorder="1" applyAlignment="1">
      <alignment horizontal="right" vertical="top" wrapText="1"/>
    </xf>
    <xf numFmtId="0" fontId="68" fillId="0" borderId="39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 wrapText="1"/>
    </xf>
    <xf numFmtId="0" fontId="68" fillId="0" borderId="0" xfId="0" applyFont="1" applyAlignment="1">
      <alignment horizontal="left"/>
    </xf>
    <xf numFmtId="0" fontId="7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68" fillId="0" borderId="46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68" fillId="0" borderId="54" xfId="0" applyFont="1" applyBorder="1" applyAlignment="1">
      <alignment horizontal="center"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  <xf numFmtId="0" fontId="68" fillId="0" borderId="55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68" fillId="0" borderId="30" xfId="0" applyFont="1" applyBorder="1" applyAlignment="1">
      <alignment horizontal="left"/>
    </xf>
    <xf numFmtId="0" fontId="68" fillId="0" borderId="18" xfId="0" applyFont="1" applyBorder="1" applyAlignment="1">
      <alignment horizontal="left"/>
    </xf>
    <xf numFmtId="0" fontId="68" fillId="0" borderId="18" xfId="0" applyFont="1" applyBorder="1" applyAlignment="1">
      <alignment horizontal="left" wrapText="1"/>
    </xf>
    <xf numFmtId="0" fontId="68" fillId="0" borderId="2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9" xfId="0" applyBorder="1" applyAlignment="1">
      <alignment horizontal="left"/>
    </xf>
    <xf numFmtId="0" fontId="73" fillId="0" borderId="36" xfId="0" applyFont="1" applyBorder="1" applyAlignment="1">
      <alignment horizontal="left"/>
    </xf>
    <xf numFmtId="0" fontId="73" fillId="0" borderId="57" xfId="0" applyFont="1" applyBorder="1" applyAlignment="1">
      <alignment horizontal="left"/>
    </xf>
    <xf numFmtId="0" fontId="73" fillId="0" borderId="58" xfId="0" applyFont="1" applyBorder="1" applyAlignment="1">
      <alignment horizontal="left"/>
    </xf>
    <xf numFmtId="0" fontId="73" fillId="0" borderId="56" xfId="0" applyFont="1" applyBorder="1" applyAlignment="1">
      <alignment horizontal="left"/>
    </xf>
    <xf numFmtId="0" fontId="73" fillId="0" borderId="59" xfId="0" applyFont="1" applyBorder="1" applyAlignment="1">
      <alignment horizontal="left"/>
    </xf>
    <xf numFmtId="0" fontId="73" fillId="0" borderId="14" xfId="0" applyFont="1" applyBorder="1" applyAlignment="1">
      <alignment horizontal="left"/>
    </xf>
    <xf numFmtId="0" fontId="73" fillId="0" borderId="54" xfId="0" applyFont="1" applyBorder="1" applyAlignment="1">
      <alignment horizontal="left"/>
    </xf>
    <xf numFmtId="0" fontId="71" fillId="0" borderId="48" xfId="0" applyFont="1" applyBorder="1" applyAlignment="1">
      <alignment horizontal="center"/>
    </xf>
    <xf numFmtId="0" fontId="68" fillId="0" borderId="2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left" wrapText="1"/>
    </xf>
    <xf numFmtId="0" fontId="68" fillId="0" borderId="39" xfId="0" applyFont="1" applyBorder="1" applyAlignment="1">
      <alignment horizontal="left" wrapText="1"/>
    </xf>
    <xf numFmtId="4" fontId="68" fillId="0" borderId="23" xfId="0" applyNumberFormat="1" applyFont="1" applyBorder="1" applyAlignment="1">
      <alignment horizontal="center"/>
    </xf>
    <xf numFmtId="4" fontId="68" fillId="0" borderId="39" xfId="0" applyNumberFormat="1" applyFon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68" fillId="0" borderId="11" xfId="0" applyFont="1" applyBorder="1" applyAlignment="1">
      <alignment horizontal="left"/>
    </xf>
    <xf numFmtId="4" fontId="73" fillId="0" borderId="23" xfId="0" applyNumberFormat="1" applyFont="1" applyBorder="1" applyAlignment="1">
      <alignment horizontal="center"/>
    </xf>
    <xf numFmtId="4" fontId="73" fillId="0" borderId="3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171450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171450</xdr:colOff>
      <xdr:row>9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view="pageBreakPreview" zoomScaleSheetLayoutView="100" zoomScalePageLayoutView="0" workbookViewId="0" topLeftCell="A19">
      <selection activeCell="I36" sqref="I36"/>
    </sheetView>
  </sheetViews>
  <sheetFormatPr defaultColWidth="9.00390625" defaultRowHeight="12.75"/>
  <cols>
    <col min="1" max="1" width="90.875" style="2" customWidth="1"/>
    <col min="2" max="2" width="12.25390625" style="2" customWidth="1"/>
    <col min="3" max="3" width="28.875" style="2" customWidth="1"/>
    <col min="4" max="4" width="25.875" style="2" customWidth="1"/>
    <col min="5" max="5" width="21.125" style="118" customWidth="1"/>
    <col min="6" max="6" width="17.625" style="118" customWidth="1"/>
    <col min="7" max="7" width="13.375" style="118" customWidth="1"/>
    <col min="8" max="11" width="21.125" style="118" customWidth="1"/>
    <col min="12" max="16384" width="9.125" style="2" customWidth="1"/>
  </cols>
  <sheetData>
    <row r="2" spans="1:4" ht="18.75">
      <c r="A2" s="128"/>
      <c r="C2" s="191" t="s">
        <v>8</v>
      </c>
      <c r="D2" s="191"/>
    </row>
    <row r="3" spans="1:4" ht="42" customHeight="1">
      <c r="A3" s="128"/>
      <c r="C3" s="191" t="s">
        <v>114</v>
      </c>
      <c r="D3" s="192"/>
    </row>
    <row r="4" spans="1:4" ht="18.75">
      <c r="A4" s="128"/>
      <c r="C4" s="189" t="s">
        <v>115</v>
      </c>
      <c r="D4" s="189"/>
    </row>
    <row r="5" spans="1:2" ht="18.75">
      <c r="A5" s="128"/>
      <c r="B5" s="128"/>
    </row>
    <row r="6" spans="1:4" ht="20.25" customHeight="1">
      <c r="A6" s="190" t="s">
        <v>0</v>
      </c>
      <c r="B6" s="190"/>
      <c r="C6" s="190"/>
      <c r="D6" s="190"/>
    </row>
    <row r="7" spans="1:4" ht="18.75" customHeight="1">
      <c r="A7" s="189" t="s">
        <v>1</v>
      </c>
      <c r="B7" s="189"/>
      <c r="C7" s="189"/>
      <c r="D7" s="189"/>
    </row>
    <row r="8" spans="1:4" ht="18.75" customHeight="1">
      <c r="A8" s="190" t="s">
        <v>109</v>
      </c>
      <c r="B8" s="190"/>
      <c r="C8" s="190"/>
      <c r="D8" s="190"/>
    </row>
    <row r="9" spans="1:4" ht="18.75" customHeight="1">
      <c r="A9" s="189" t="s">
        <v>116</v>
      </c>
      <c r="B9" s="189"/>
      <c r="C9" s="189"/>
      <c r="D9" s="189"/>
    </row>
    <row r="10" ht="18"/>
    <row r="11" ht="18">
      <c r="A11" s="2" t="s">
        <v>117</v>
      </c>
    </row>
    <row r="13" ht="18.75" thickBot="1"/>
    <row r="14" spans="1:4" ht="24.75" customHeight="1" thickBot="1">
      <c r="A14" s="184" t="s">
        <v>99</v>
      </c>
      <c r="B14" s="196"/>
      <c r="C14" s="130">
        <v>8</v>
      </c>
      <c r="D14" s="129" t="s">
        <v>9</v>
      </c>
    </row>
    <row r="15" spans="1:4" ht="25.5" customHeight="1" thickBot="1">
      <c r="A15" s="184" t="s">
        <v>11</v>
      </c>
      <c r="B15" s="196"/>
      <c r="C15" s="130">
        <v>46</v>
      </c>
      <c r="D15" s="129" t="s">
        <v>10</v>
      </c>
    </row>
    <row r="16" spans="1:4" ht="24" customHeight="1" thickBot="1">
      <c r="A16" s="184" t="s">
        <v>85</v>
      </c>
      <c r="B16" s="196"/>
      <c r="C16" s="131">
        <v>8</v>
      </c>
      <c r="D16" s="132" t="s">
        <v>12</v>
      </c>
    </row>
    <row r="17" spans="1:4" ht="24" customHeight="1" thickBot="1">
      <c r="A17" s="133"/>
      <c r="B17" s="134"/>
      <c r="C17" s="135"/>
      <c r="D17" s="132"/>
    </row>
    <row r="18" spans="1:9" ht="29.25" customHeight="1" thickBot="1">
      <c r="A18" s="184" t="s">
        <v>13</v>
      </c>
      <c r="B18" s="185"/>
      <c r="C18" s="186"/>
      <c r="D18" s="136">
        <f>D22+D25</f>
        <v>33120</v>
      </c>
      <c r="E18" s="165">
        <f>E38*60%</f>
        <v>33120</v>
      </c>
      <c r="F18" s="120">
        <v>0.6</v>
      </c>
      <c r="G18" s="121"/>
      <c r="H18" s="121" t="s">
        <v>32</v>
      </c>
      <c r="I18" s="119"/>
    </row>
    <row r="19" spans="1:4" ht="31.5" customHeight="1">
      <c r="A19" s="187" t="s">
        <v>14</v>
      </c>
      <c r="B19" s="188"/>
      <c r="C19" s="188"/>
      <c r="D19" s="156" t="s">
        <v>2</v>
      </c>
    </row>
    <row r="20" spans="1:9" ht="24.75" customHeight="1">
      <c r="A20" s="11" t="s">
        <v>86</v>
      </c>
      <c r="B20" s="164">
        <f>I20</f>
        <v>2442.9583005507475</v>
      </c>
      <c r="C20" s="105" t="s">
        <v>100</v>
      </c>
      <c r="D20" s="14">
        <f>B20*8</f>
        <v>19543.66640440598</v>
      </c>
      <c r="E20" s="1">
        <f>E22/1.271</f>
        <v>19543.66640440598</v>
      </c>
      <c r="F20" s="122">
        <v>0.45</v>
      </c>
      <c r="H20" s="118">
        <f>D20/C14</f>
        <v>2442.9583005507475</v>
      </c>
      <c r="I20" s="123">
        <f>E20/C14</f>
        <v>2442.9583005507475</v>
      </c>
    </row>
    <row r="21" spans="1:5" ht="24.75" customHeight="1">
      <c r="A21" s="11" t="s">
        <v>20</v>
      </c>
      <c r="B21" s="102"/>
      <c r="C21" s="5"/>
      <c r="D21" s="14">
        <f>D20*27.1%</f>
        <v>5296.333595594021</v>
      </c>
      <c r="E21" s="1">
        <f>E20*27.1%</f>
        <v>5296.333595594021</v>
      </c>
    </row>
    <row r="22" spans="1:5" ht="24.75" customHeight="1">
      <c r="A22" s="193" t="s">
        <v>93</v>
      </c>
      <c r="B22" s="194"/>
      <c r="C22" s="195"/>
      <c r="D22" s="14">
        <f>D20+D21</f>
        <v>24840</v>
      </c>
      <c r="E22" s="1">
        <f>E38*45%</f>
        <v>24840</v>
      </c>
    </row>
    <row r="23" spans="1:5" ht="24.75" customHeight="1">
      <c r="A23" s="137" t="s">
        <v>17</v>
      </c>
      <c r="B23" s="138"/>
      <c r="C23" s="6"/>
      <c r="D23" s="157" t="s">
        <v>2</v>
      </c>
      <c r="E23" s="1"/>
    </row>
    <row r="24" spans="1:5" ht="39.75" customHeight="1">
      <c r="A24" s="12" t="s">
        <v>102</v>
      </c>
      <c r="B24" s="162">
        <f>D25/C15</f>
        <v>180</v>
      </c>
      <c r="C24" s="162" t="s">
        <v>95</v>
      </c>
      <c r="D24" s="158">
        <f>E25</f>
        <v>8280</v>
      </c>
      <c r="E24" s="1"/>
    </row>
    <row r="25" spans="1:10" ht="24.75" customHeight="1" thickBot="1">
      <c r="A25" s="137" t="s">
        <v>18</v>
      </c>
      <c r="B25" s="138"/>
      <c r="C25" s="6"/>
      <c r="D25" s="159">
        <f>D24</f>
        <v>8280</v>
      </c>
      <c r="E25" s="160">
        <f>E38*15%</f>
        <v>8280</v>
      </c>
      <c r="F25" s="120">
        <v>0.15</v>
      </c>
      <c r="G25" s="121"/>
      <c r="H25" s="121" t="s">
        <v>33</v>
      </c>
      <c r="I25" s="121"/>
      <c r="J25" s="121"/>
    </row>
    <row r="26" spans="1:6" ht="24.75" customHeight="1" thickBot="1">
      <c r="A26" s="139"/>
      <c r="B26" s="140"/>
      <c r="C26" s="10"/>
      <c r="D26" s="141"/>
      <c r="E26" s="1"/>
      <c r="F26" s="122"/>
    </row>
    <row r="27" spans="1:10" ht="24.75" customHeight="1" thickBot="1">
      <c r="A27" s="184" t="s">
        <v>19</v>
      </c>
      <c r="B27" s="185"/>
      <c r="C27" s="185"/>
      <c r="D27" s="136">
        <f>D28+D35</f>
        <v>22080.004343443896</v>
      </c>
      <c r="E27" s="163">
        <f>E38*40%</f>
        <v>22080</v>
      </c>
      <c r="F27" s="120">
        <v>0.4</v>
      </c>
      <c r="G27" s="121"/>
      <c r="H27" s="121" t="s">
        <v>34</v>
      </c>
      <c r="I27" s="121"/>
      <c r="J27" s="121"/>
    </row>
    <row r="28" spans="1:5" ht="24.75" customHeight="1">
      <c r="A28" s="142" t="s">
        <v>15</v>
      </c>
      <c r="B28" s="143"/>
      <c r="C28" s="144"/>
      <c r="D28" s="145">
        <f>D29+D31+D33+D30+D32</f>
        <v>22059.360000026405</v>
      </c>
      <c r="E28" s="1">
        <f>E29+E31+E33+E30</f>
        <v>20403.360000026405</v>
      </c>
    </row>
    <row r="29" spans="1:9" ht="22.5" customHeight="1">
      <c r="A29" s="11" t="s">
        <v>88</v>
      </c>
      <c r="B29" s="102">
        <f>H29</f>
        <v>866.5774980356413</v>
      </c>
      <c r="C29" s="106" t="s">
        <v>101</v>
      </c>
      <c r="D29" s="13">
        <f>(I29*8)</f>
        <v>6932.61998428513</v>
      </c>
      <c r="E29" s="1">
        <f>(E38*15.9626086957%)/1.271</f>
        <v>6932.61998428513</v>
      </c>
      <c r="F29" s="171">
        <v>0.159626086957</v>
      </c>
      <c r="G29" s="178" t="s">
        <v>31</v>
      </c>
      <c r="H29" s="126">
        <f>D29/C14</f>
        <v>866.5774980356413</v>
      </c>
      <c r="I29" s="125">
        <f>E29/C14</f>
        <v>866.5774980356413</v>
      </c>
    </row>
    <row r="30" spans="1:9" ht="22.5" customHeight="1">
      <c r="A30" s="11" t="s">
        <v>110</v>
      </c>
      <c r="B30" s="107">
        <f>H30</f>
        <v>760.031471282455</v>
      </c>
      <c r="C30" s="106" t="s">
        <v>87</v>
      </c>
      <c r="D30" s="13">
        <f>(I30*8)</f>
        <v>6080.25177025964</v>
      </c>
      <c r="E30" s="1">
        <f>E38*14%/1.271</f>
        <v>6080.25177025964</v>
      </c>
      <c r="F30" s="124">
        <v>0.14</v>
      </c>
      <c r="G30" s="178" t="s">
        <v>96</v>
      </c>
      <c r="H30" s="126">
        <f>D30/C14</f>
        <v>760.031471282455</v>
      </c>
      <c r="I30" s="125">
        <f>E30/C14</f>
        <v>760.031471282455</v>
      </c>
    </row>
    <row r="31" spans="1:9" ht="34.5" customHeight="1">
      <c r="A31" s="11" t="s">
        <v>108</v>
      </c>
      <c r="B31" s="107">
        <f>H31</f>
        <v>380.0157356412275</v>
      </c>
      <c r="C31" s="106" t="s">
        <v>87</v>
      </c>
      <c r="D31" s="13">
        <f>(I31*8)</f>
        <v>3040.12588512982</v>
      </c>
      <c r="E31" s="1">
        <f>E38*7%/1.271</f>
        <v>3040.12588512982</v>
      </c>
      <c r="F31" s="124">
        <v>0.07</v>
      </c>
      <c r="G31" s="179" t="s">
        <v>118</v>
      </c>
      <c r="H31" s="126">
        <f>D31/C14</f>
        <v>380.0157356412275</v>
      </c>
      <c r="I31" s="125">
        <f>E31/C14</f>
        <v>380.0157356412275</v>
      </c>
    </row>
    <row r="32" spans="1:9" ht="34.5" customHeight="1">
      <c r="A32" s="11" t="s">
        <v>124</v>
      </c>
      <c r="B32" s="107"/>
      <c r="C32" s="102"/>
      <c r="D32" s="13">
        <f>I32*8</f>
        <v>1302.9110936270654</v>
      </c>
      <c r="E32" s="1">
        <f>E38*3%/1.271</f>
        <v>1302.9110936270654</v>
      </c>
      <c r="F32" s="124">
        <v>0.03</v>
      </c>
      <c r="G32" s="179" t="s">
        <v>125</v>
      </c>
      <c r="H32" s="126">
        <f>D32/C14</f>
        <v>162.86388670338317</v>
      </c>
      <c r="I32" s="125">
        <f>E32/C14</f>
        <v>162.86388670338317</v>
      </c>
    </row>
    <row r="33" spans="1:5" ht="24" customHeight="1">
      <c r="A33" s="11" t="s">
        <v>21</v>
      </c>
      <c r="B33" s="102"/>
      <c r="C33" s="4"/>
      <c r="D33" s="13">
        <f>SUM(D29+D31+D30+D32)*27.1%</f>
        <v>4703.451266724748</v>
      </c>
      <c r="E33" s="28">
        <f>(E29+E31+E30)*27.1%</f>
        <v>4350.3623603518145</v>
      </c>
    </row>
    <row r="34" spans="1:5" ht="27.75" customHeight="1">
      <c r="A34" s="12"/>
      <c r="B34" s="103"/>
      <c r="C34" s="3"/>
      <c r="D34" s="146" t="s">
        <v>2</v>
      </c>
      <c r="E34" s="1"/>
    </row>
    <row r="35" spans="1:8" ht="24.75" customHeight="1">
      <c r="A35" s="147" t="s">
        <v>122</v>
      </c>
      <c r="B35" s="148"/>
      <c r="C35" s="27" t="s">
        <v>121</v>
      </c>
      <c r="D35" s="149">
        <f>D36+D37</f>
        <v>20.644343417491562</v>
      </c>
      <c r="E35" s="1">
        <f>E38*F35</f>
        <v>20.63999999568</v>
      </c>
      <c r="F35" s="171">
        <v>0.0003739130434</v>
      </c>
      <c r="G35" s="126" t="s">
        <v>35</v>
      </c>
      <c r="H35" s="126"/>
    </row>
    <row r="36" spans="1:7" ht="27.75" customHeight="1">
      <c r="A36" s="24" t="s">
        <v>90</v>
      </c>
      <c r="B36" s="102">
        <v>124544</v>
      </c>
      <c r="C36" s="161" t="s">
        <v>123</v>
      </c>
      <c r="D36" s="25">
        <f>'расчет '!E54</f>
        <v>4.18448077707337</v>
      </c>
      <c r="E36" s="1"/>
      <c r="F36" s="118">
        <v>0.036731</v>
      </c>
      <c r="G36" s="118">
        <f>D35*100/33600</f>
        <v>0.06144149826634394</v>
      </c>
    </row>
    <row r="37" spans="1:6" ht="22.5" customHeight="1" thickBot="1">
      <c r="A37" s="26" t="s">
        <v>128</v>
      </c>
      <c r="B37" s="102">
        <v>489900</v>
      </c>
      <c r="C37" s="161" t="s">
        <v>123</v>
      </c>
      <c r="D37" s="25">
        <f>'расчет '!E45</f>
        <v>16.459862640418194</v>
      </c>
      <c r="E37" s="1"/>
      <c r="F37" s="173">
        <v>0.0725</v>
      </c>
    </row>
    <row r="38" spans="1:5" ht="20.25" customHeight="1" thickBot="1">
      <c r="A38" s="184" t="s">
        <v>3</v>
      </c>
      <c r="B38" s="185"/>
      <c r="C38" s="185"/>
      <c r="D38" s="136">
        <f>D18+D27</f>
        <v>55200.0043434439</v>
      </c>
      <c r="E38" s="118">
        <f>150*C14*C15</f>
        <v>55200</v>
      </c>
    </row>
    <row r="39" spans="1:7" ht="19.5" customHeight="1">
      <c r="A39" s="7" t="s">
        <v>4</v>
      </c>
      <c r="B39" s="104"/>
      <c r="C39" s="6"/>
      <c r="D39" s="9"/>
      <c r="G39" s="127">
        <f>F29+F30+F31+F35+F32</f>
        <v>0.40000000000040004</v>
      </c>
    </row>
    <row r="40" spans="1:6" ht="18.75">
      <c r="A40" s="108">
        <f>D38</f>
        <v>55200.0043434439</v>
      </c>
      <c r="B40" s="104">
        <f>C15</f>
        <v>46</v>
      </c>
      <c r="C40" s="109" t="s">
        <v>10</v>
      </c>
      <c r="D40" s="8">
        <f>D38/C15</f>
        <v>1200.0000944226936</v>
      </c>
      <c r="F40" s="126"/>
    </row>
    <row r="41" spans="1:7" ht="31.5" customHeight="1" thickBot="1">
      <c r="A41" s="150"/>
      <c r="B41" s="151"/>
      <c r="C41" s="151"/>
      <c r="D41" s="152"/>
      <c r="G41" s="122">
        <f>F18+F27</f>
        <v>1</v>
      </c>
    </row>
    <row r="42" spans="1:7" ht="31.5" customHeight="1">
      <c r="A42" s="153"/>
      <c r="B42" s="153"/>
      <c r="C42" s="153"/>
      <c r="D42" s="153"/>
      <c r="G42" s="122"/>
    </row>
    <row r="43" spans="1:4" ht="24" customHeight="1">
      <c r="A43" s="153" t="s">
        <v>111</v>
      </c>
      <c r="B43" s="153"/>
      <c r="C43" s="153"/>
      <c r="D43" s="153"/>
    </row>
    <row r="44" spans="1:4" s="118" customFormat="1" ht="15.75">
      <c r="A44" s="176" t="s">
        <v>6</v>
      </c>
      <c r="B44" s="176"/>
      <c r="C44" s="118" t="s">
        <v>119</v>
      </c>
      <c r="D44" s="177"/>
    </row>
    <row r="45" spans="1:4" ht="18.75">
      <c r="A45" s="154"/>
      <c r="B45" s="154"/>
      <c r="D45" s="115"/>
    </row>
    <row r="46" spans="1:4" ht="31.5" customHeight="1">
      <c r="A46" s="166" t="s">
        <v>5</v>
      </c>
      <c r="B46" s="166"/>
      <c r="C46" s="167"/>
      <c r="D46" s="168"/>
    </row>
    <row r="47" spans="1:4" ht="63.75" customHeight="1">
      <c r="A47" s="169" t="s">
        <v>91</v>
      </c>
      <c r="B47" s="169"/>
      <c r="C47" s="167" t="s">
        <v>7</v>
      </c>
      <c r="D47" s="170" t="s">
        <v>30</v>
      </c>
    </row>
    <row r="48" spans="1:4" ht="54" customHeight="1">
      <c r="A48" s="169" t="s">
        <v>89</v>
      </c>
      <c r="B48" s="169"/>
      <c r="C48" s="167" t="s">
        <v>7</v>
      </c>
      <c r="D48" s="170" t="s">
        <v>16</v>
      </c>
    </row>
    <row r="49" spans="1:3" ht="18.75">
      <c r="A49" s="155"/>
      <c r="B49" s="155"/>
      <c r="C49" s="154"/>
    </row>
  </sheetData>
  <sheetProtection/>
  <mergeCells count="15">
    <mergeCell ref="C2:D2"/>
    <mergeCell ref="C3:D3"/>
    <mergeCell ref="C4:D4"/>
    <mergeCell ref="A6:D6"/>
    <mergeCell ref="A22:C22"/>
    <mergeCell ref="A14:B14"/>
    <mergeCell ref="A15:B15"/>
    <mergeCell ref="A16:B16"/>
    <mergeCell ref="A38:C38"/>
    <mergeCell ref="A18:C18"/>
    <mergeCell ref="A19:C19"/>
    <mergeCell ref="A27:C27"/>
    <mergeCell ref="A7:D7"/>
    <mergeCell ref="A8:D8"/>
    <mergeCell ref="A9:D9"/>
  </mergeCells>
  <printOptions/>
  <pageMargins left="1.141732283464567" right="1.141732283464567" top="1.1811023622047245" bottom="0.984251968503937" header="0.5118110236220472" footer="0.5118110236220472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34">
      <selection activeCell="F54" sqref="F54"/>
    </sheetView>
  </sheetViews>
  <sheetFormatPr defaultColWidth="9.00390625" defaultRowHeight="12.75"/>
  <cols>
    <col min="1" max="1" width="8.00390625" style="0" customWidth="1"/>
    <col min="2" max="2" width="28.00390625" style="0" customWidth="1"/>
    <col min="3" max="3" width="14.625" style="0" customWidth="1"/>
    <col min="4" max="4" width="21.625" style="0" customWidth="1"/>
    <col min="5" max="5" width="15.125" style="0" customWidth="1"/>
    <col min="6" max="6" width="13.125" style="0" customWidth="1"/>
    <col min="7" max="7" width="14.625" style="0" customWidth="1"/>
  </cols>
  <sheetData>
    <row r="1" spans="4:7" ht="15">
      <c r="D1" s="197" t="s">
        <v>36</v>
      </c>
      <c r="E1" s="197"/>
      <c r="F1" s="197"/>
      <c r="G1" s="197"/>
    </row>
    <row r="2" spans="4:7" ht="15">
      <c r="D2" s="197" t="s">
        <v>112</v>
      </c>
      <c r="E2" s="197"/>
      <c r="F2" s="197"/>
      <c r="G2" s="197"/>
    </row>
    <row r="3" spans="1:7" ht="33" customHeight="1">
      <c r="A3" s="198" t="s">
        <v>113</v>
      </c>
      <c r="B3" s="198"/>
      <c r="C3" s="198"/>
      <c r="D3" s="198"/>
      <c r="E3" s="198"/>
      <c r="F3" s="198"/>
      <c r="G3" s="198"/>
    </row>
    <row r="4" spans="1:7" ht="15">
      <c r="A4" s="30"/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.75">
      <c r="A6" s="32"/>
      <c r="B6" s="32"/>
      <c r="C6" s="32"/>
      <c r="D6" s="32"/>
      <c r="E6" s="32"/>
      <c r="F6" s="31"/>
      <c r="G6" s="31"/>
    </row>
    <row r="7" spans="1:7" ht="15.75">
      <c r="A7" s="199" t="s">
        <v>37</v>
      </c>
      <c r="B7" s="199"/>
      <c r="C7" s="199"/>
      <c r="D7" s="32"/>
      <c r="E7" s="32"/>
      <c r="F7" s="31"/>
      <c r="G7" s="31"/>
    </row>
    <row r="8" spans="1:7" ht="15.75">
      <c r="A8" s="200" t="s">
        <v>38</v>
      </c>
      <c r="B8" s="200"/>
      <c r="C8" s="33">
        <f>'смета '!C15</f>
        <v>46</v>
      </c>
      <c r="D8" s="34" t="s">
        <v>39</v>
      </c>
      <c r="E8" s="33"/>
      <c r="F8" s="33"/>
      <c r="G8" s="33"/>
    </row>
    <row r="9" spans="1:7" ht="15.75">
      <c r="A9" s="201"/>
      <c r="B9" s="201"/>
      <c r="C9" s="201"/>
      <c r="D9" s="32"/>
      <c r="E9" s="32"/>
      <c r="F9" s="31"/>
      <c r="G9" s="31"/>
    </row>
    <row r="10" spans="1:7" ht="16.5" thickBot="1">
      <c r="A10" s="202" t="s">
        <v>103</v>
      </c>
      <c r="B10" s="202"/>
      <c r="C10" s="202"/>
      <c r="D10" s="202"/>
      <c r="E10" s="202"/>
      <c r="F10" s="202"/>
      <c r="G10" s="202"/>
    </row>
    <row r="11" spans="1:7" ht="90.75" thickBot="1">
      <c r="A11" s="35" t="s">
        <v>40</v>
      </c>
      <c r="B11" s="36" t="s">
        <v>41</v>
      </c>
      <c r="C11" s="37" t="s">
        <v>42</v>
      </c>
      <c r="D11" s="37" t="s">
        <v>43</v>
      </c>
      <c r="E11" s="37" t="s">
        <v>44</v>
      </c>
      <c r="F11" s="37" t="s">
        <v>45</v>
      </c>
      <c r="G11" s="38" t="s">
        <v>46</v>
      </c>
    </row>
    <row r="12" spans="1:7" ht="13.5" thickBot="1">
      <c r="A12" s="39">
        <v>1</v>
      </c>
      <c r="B12" s="40">
        <v>2</v>
      </c>
      <c r="C12" s="41">
        <v>3</v>
      </c>
      <c r="D12" s="41">
        <v>5</v>
      </c>
      <c r="E12" s="41">
        <v>6</v>
      </c>
      <c r="F12" s="41">
        <v>7</v>
      </c>
      <c r="G12" s="42">
        <v>8</v>
      </c>
    </row>
    <row r="13" spans="1:7" ht="15.75" thickBot="1">
      <c r="A13" s="43">
        <v>1</v>
      </c>
      <c r="B13" s="44" t="s">
        <v>105</v>
      </c>
      <c r="C13" s="45">
        <f>'смета '!B20</f>
        <v>2442.9583005507475</v>
      </c>
      <c r="D13" s="46">
        <f>C13*27.1%</f>
        <v>662.0416994492526</v>
      </c>
      <c r="E13" s="46">
        <f>D13+C13</f>
        <v>3105</v>
      </c>
      <c r="F13" s="46">
        <v>8</v>
      </c>
      <c r="G13" s="113">
        <f>E13*F13</f>
        <v>24840</v>
      </c>
    </row>
    <row r="14" spans="1:7" ht="15.75" thickBot="1">
      <c r="A14" s="203" t="s">
        <v>18</v>
      </c>
      <c r="B14" s="204"/>
      <c r="C14" s="47">
        <f>SUM(C13:C13)</f>
        <v>2442.9583005507475</v>
      </c>
      <c r="D14" s="47">
        <f>SUM(D13:D13)</f>
        <v>662.0416994492526</v>
      </c>
      <c r="E14" s="48">
        <f>SUM(E13:E13)</f>
        <v>3105</v>
      </c>
      <c r="F14" s="48">
        <f>SUM(F13:F13)</f>
        <v>8</v>
      </c>
      <c r="G14" s="114">
        <f>SUM(G13:G13)</f>
        <v>24840</v>
      </c>
    </row>
    <row r="15" spans="1:7" ht="15">
      <c r="A15" s="31"/>
      <c r="B15" s="31"/>
      <c r="C15" s="31"/>
      <c r="D15" s="31"/>
      <c r="E15" s="31"/>
      <c r="F15" s="31"/>
      <c r="G15" s="31"/>
    </row>
    <row r="16" spans="1:7" ht="16.5" thickBot="1">
      <c r="A16" s="202" t="s">
        <v>104</v>
      </c>
      <c r="B16" s="202"/>
      <c r="C16" s="202"/>
      <c r="D16" s="202"/>
      <c r="E16" s="202"/>
      <c r="F16" s="202"/>
      <c r="G16" s="202"/>
    </row>
    <row r="17" spans="1:7" ht="65.25" thickBot="1">
      <c r="A17" s="49" t="s">
        <v>22</v>
      </c>
      <c r="B17" s="50" t="s">
        <v>25</v>
      </c>
      <c r="C17" s="21" t="s">
        <v>26</v>
      </c>
      <c r="D17" s="20" t="s">
        <v>27</v>
      </c>
      <c r="E17" s="20" t="s">
        <v>28</v>
      </c>
      <c r="F17" s="22" t="s">
        <v>98</v>
      </c>
      <c r="G17" s="51" t="s">
        <v>47</v>
      </c>
    </row>
    <row r="18" spans="1:7" ht="15" thickBot="1">
      <c r="A18" s="15">
        <v>3</v>
      </c>
      <c r="B18" s="116" t="s">
        <v>106</v>
      </c>
      <c r="C18" s="15" t="s">
        <v>29</v>
      </c>
      <c r="D18" s="15">
        <v>8</v>
      </c>
      <c r="E18" s="23">
        <v>8280</v>
      </c>
      <c r="F18" s="16">
        <f>D18*E18</f>
        <v>66240</v>
      </c>
      <c r="G18" s="52">
        <f>F18/8</f>
        <v>8280</v>
      </c>
    </row>
    <row r="19" spans="1:7" ht="13.5" thickBot="1">
      <c r="A19" s="17"/>
      <c r="B19" s="18" t="s">
        <v>24</v>
      </c>
      <c r="C19" s="18"/>
      <c r="D19" s="18"/>
      <c r="E19" s="18"/>
      <c r="F19" s="19">
        <f>SUM(F18:F18)</f>
        <v>66240</v>
      </c>
      <c r="G19" s="52">
        <f>F19/8</f>
        <v>8280</v>
      </c>
    </row>
    <row r="20" spans="1:7" ht="12.75">
      <c r="A20" s="29"/>
      <c r="B20" s="29"/>
      <c r="C20" s="29"/>
      <c r="D20" s="29"/>
      <c r="E20" s="99"/>
      <c r="F20" s="100"/>
      <c r="G20" s="101"/>
    </row>
    <row r="21" spans="1:7" ht="15.75">
      <c r="A21" s="205" t="s">
        <v>48</v>
      </c>
      <c r="B21" s="205"/>
      <c r="C21" s="205"/>
      <c r="D21" s="205"/>
      <c r="E21" s="205"/>
      <c r="F21" s="205"/>
      <c r="G21" s="205"/>
    </row>
    <row r="22" spans="1:7" ht="16.5" thickBot="1">
      <c r="A22" s="53"/>
      <c r="B22" s="53"/>
      <c r="C22" s="53"/>
      <c r="D22" s="53"/>
      <c r="E22" s="53"/>
      <c r="F22" s="53"/>
      <c r="G22" s="53"/>
    </row>
    <row r="23" spans="1:7" ht="105.75" thickBot="1">
      <c r="A23" s="54" t="s">
        <v>40</v>
      </c>
      <c r="B23" s="55" t="s">
        <v>49</v>
      </c>
      <c r="C23" s="55" t="s">
        <v>50</v>
      </c>
      <c r="D23" s="55" t="s">
        <v>51</v>
      </c>
      <c r="E23" s="55" t="s">
        <v>52</v>
      </c>
      <c r="F23" s="55" t="s">
        <v>53</v>
      </c>
      <c r="G23" s="56" t="s">
        <v>54</v>
      </c>
    </row>
    <row r="24" spans="1:7" ht="13.5" thickBot="1">
      <c r="A24" s="57">
        <v>1</v>
      </c>
      <c r="B24" s="58">
        <v>1</v>
      </c>
      <c r="C24" s="59">
        <v>2</v>
      </c>
      <c r="D24" s="59">
        <v>3</v>
      </c>
      <c r="E24" s="59">
        <v>4</v>
      </c>
      <c r="F24" s="60">
        <v>5</v>
      </c>
      <c r="G24" s="61">
        <v>6</v>
      </c>
    </row>
    <row r="25" spans="1:7" ht="15.75" thickBot="1">
      <c r="A25" s="62">
        <v>1</v>
      </c>
      <c r="B25" s="63">
        <v>0</v>
      </c>
      <c r="C25" s="64">
        <v>0</v>
      </c>
      <c r="D25" s="65">
        <v>0</v>
      </c>
      <c r="E25" s="65">
        <v>0</v>
      </c>
      <c r="F25" s="66">
        <v>0</v>
      </c>
      <c r="G25" s="66">
        <v>0</v>
      </c>
    </row>
    <row r="26" spans="1:7" ht="15.75" thickBot="1">
      <c r="A26" s="203" t="s">
        <v>18</v>
      </c>
      <c r="B26" s="206"/>
      <c r="C26" s="67">
        <v>0</v>
      </c>
      <c r="D26" s="68">
        <v>0</v>
      </c>
      <c r="E26" s="68">
        <v>0</v>
      </c>
      <c r="F26" s="69">
        <v>0</v>
      </c>
      <c r="G26" s="51">
        <v>0</v>
      </c>
    </row>
    <row r="27" spans="1:7" ht="42.75" customHeight="1" thickBot="1">
      <c r="A27" s="207" t="s">
        <v>94</v>
      </c>
      <c r="B27" s="208"/>
      <c r="C27" s="208"/>
      <c r="D27" s="208"/>
      <c r="E27" s="208"/>
      <c r="F27" s="208"/>
      <c r="G27" s="208"/>
    </row>
    <row r="28" spans="1:7" ht="48.75" thickBot="1">
      <c r="A28" s="57" t="s">
        <v>40</v>
      </c>
      <c r="B28" s="58" t="s">
        <v>41</v>
      </c>
      <c r="C28" s="70" t="s">
        <v>55</v>
      </c>
      <c r="D28" s="70" t="s">
        <v>43</v>
      </c>
      <c r="E28" s="70" t="s">
        <v>56</v>
      </c>
      <c r="F28" s="31"/>
      <c r="G28" s="31"/>
    </row>
    <row r="29" spans="1:7" ht="13.5" thickBot="1">
      <c r="A29" s="57">
        <v>1</v>
      </c>
      <c r="B29" s="58">
        <v>2</v>
      </c>
      <c r="C29" s="59">
        <v>3</v>
      </c>
      <c r="D29" s="59">
        <v>5</v>
      </c>
      <c r="E29" s="59">
        <v>6</v>
      </c>
      <c r="F29" s="71"/>
      <c r="G29" s="71"/>
    </row>
    <row r="30" spans="1:7" ht="15">
      <c r="A30" s="72">
        <v>1</v>
      </c>
      <c r="B30" s="73" t="s">
        <v>23</v>
      </c>
      <c r="C30" s="74">
        <f>'смета '!D29</f>
        <v>6932.61998428513</v>
      </c>
      <c r="D30" s="75">
        <f>C30*27.1%</f>
        <v>1878.7400157412703</v>
      </c>
      <c r="E30" s="75">
        <f>C30+D30</f>
        <v>8811.360000026401</v>
      </c>
      <c r="F30" s="71"/>
      <c r="G30" s="71"/>
    </row>
    <row r="31" spans="1:7" ht="15">
      <c r="A31" s="72">
        <v>2</v>
      </c>
      <c r="B31" s="76" t="s">
        <v>126</v>
      </c>
      <c r="C31" s="74">
        <f>'смета '!D30</f>
        <v>6080.25177025964</v>
      </c>
      <c r="D31" s="75">
        <f>C31*27.1%</f>
        <v>1647.7482297403624</v>
      </c>
      <c r="E31" s="75">
        <f>C31+D31</f>
        <v>7728.000000000002</v>
      </c>
      <c r="F31" s="31"/>
      <c r="G31" s="31"/>
    </row>
    <row r="32" spans="1:7" ht="15">
      <c r="A32" s="72">
        <v>3</v>
      </c>
      <c r="B32" s="76" t="s">
        <v>97</v>
      </c>
      <c r="C32" s="74">
        <f>'смета '!D31</f>
        <v>3040.12588512982</v>
      </c>
      <c r="D32" s="75">
        <f>C32*27.1%</f>
        <v>823.8741148701812</v>
      </c>
      <c r="E32" s="75">
        <f>C32+D32</f>
        <v>3864.000000000001</v>
      </c>
      <c r="F32" s="31"/>
      <c r="G32" s="31"/>
    </row>
    <row r="33" spans="1:7" ht="15">
      <c r="A33" s="183">
        <v>4</v>
      </c>
      <c r="B33" s="181" t="s">
        <v>127</v>
      </c>
      <c r="C33" s="182">
        <f>'смета '!D32</f>
        <v>1302.9110936270654</v>
      </c>
      <c r="D33" s="172">
        <f>C33*27.1%</f>
        <v>353.08890637293473</v>
      </c>
      <c r="E33" s="172">
        <f>C33+D33</f>
        <v>1656</v>
      </c>
      <c r="F33" s="31"/>
      <c r="G33" s="31"/>
    </row>
    <row r="34" spans="1:7" ht="15.75" thickBot="1">
      <c r="A34" s="209" t="s">
        <v>18</v>
      </c>
      <c r="B34" s="210"/>
      <c r="C34" s="77">
        <f>SUM(C30:C33)</f>
        <v>17355.908733301654</v>
      </c>
      <c r="D34" s="77">
        <f>SUM(D30:D33)</f>
        <v>4703.451266724748</v>
      </c>
      <c r="E34" s="77">
        <f>SUM(E30:E33)</f>
        <v>22059.360000026405</v>
      </c>
      <c r="F34" s="117"/>
      <c r="G34" s="31"/>
    </row>
    <row r="35" spans="1:7" ht="15">
      <c r="A35" s="78"/>
      <c r="B35" s="78"/>
      <c r="C35" s="79"/>
      <c r="D35" s="79"/>
      <c r="E35" s="80"/>
      <c r="F35" s="31"/>
      <c r="G35" s="31"/>
    </row>
    <row r="36" spans="1:7" ht="15.75" thickBot="1">
      <c r="A36" s="211" t="s">
        <v>57</v>
      </c>
      <c r="B36" s="211"/>
      <c r="C36" s="211"/>
      <c r="D36" s="211"/>
      <c r="E36" s="211"/>
      <c r="F36" s="31"/>
      <c r="G36" s="81"/>
    </row>
    <row r="37" spans="1:7" ht="15">
      <c r="A37" s="43">
        <v>1</v>
      </c>
      <c r="B37" s="212" t="s">
        <v>58</v>
      </c>
      <c r="C37" s="212"/>
      <c r="D37" s="212"/>
      <c r="E37" s="174">
        <v>489900</v>
      </c>
      <c r="F37" s="31"/>
      <c r="G37" s="81"/>
    </row>
    <row r="38" spans="1:7" ht="15">
      <c r="A38" s="82">
        <v>2</v>
      </c>
      <c r="B38" s="213" t="s">
        <v>59</v>
      </c>
      <c r="C38" s="213"/>
      <c r="D38" s="213"/>
      <c r="E38" s="175">
        <v>3196.8</v>
      </c>
      <c r="F38" s="31"/>
      <c r="G38" s="81"/>
    </row>
    <row r="39" spans="1:7" ht="15">
      <c r="A39" s="82">
        <v>3</v>
      </c>
      <c r="B39" s="214" t="s">
        <v>60</v>
      </c>
      <c r="C39" s="214"/>
      <c r="D39" s="214"/>
      <c r="E39" s="180">
        <v>10.15</v>
      </c>
      <c r="F39" s="31"/>
      <c r="G39" s="84"/>
    </row>
    <row r="40" spans="1:7" ht="15">
      <c r="A40" s="82">
        <v>4</v>
      </c>
      <c r="B40" s="215" t="s">
        <v>61</v>
      </c>
      <c r="C40" s="216"/>
      <c r="D40" s="217"/>
      <c r="E40" s="83">
        <v>12</v>
      </c>
      <c r="F40" s="31"/>
      <c r="G40" s="81"/>
    </row>
    <row r="41" spans="1:7" ht="15">
      <c r="A41" s="82">
        <v>5</v>
      </c>
      <c r="B41" s="214" t="s">
        <v>62</v>
      </c>
      <c r="C41" s="214"/>
      <c r="D41" s="214"/>
      <c r="E41" s="85">
        <v>21</v>
      </c>
      <c r="F41" s="31"/>
      <c r="G41" s="86"/>
    </row>
    <row r="42" spans="1:7" ht="15">
      <c r="A42" s="82">
        <v>6</v>
      </c>
      <c r="B42" s="213" t="s">
        <v>107</v>
      </c>
      <c r="C42" s="213"/>
      <c r="D42" s="213"/>
      <c r="E42" s="83">
        <v>12</v>
      </c>
      <c r="F42" s="31"/>
      <c r="G42" s="81"/>
    </row>
    <row r="43" spans="1:7" ht="15">
      <c r="A43" s="82">
        <v>7</v>
      </c>
      <c r="B43" s="213" t="s">
        <v>129</v>
      </c>
      <c r="C43" s="213"/>
      <c r="D43" s="213"/>
      <c r="E43" s="87">
        <v>32</v>
      </c>
      <c r="F43" s="31"/>
      <c r="G43" s="86"/>
    </row>
    <row r="44" spans="1:7" ht="15" customHeight="1">
      <c r="A44" s="82">
        <v>8</v>
      </c>
      <c r="B44" s="110" t="s">
        <v>92</v>
      </c>
      <c r="C44" s="111">
        <f>E37</f>
        <v>489900</v>
      </c>
      <c r="D44" s="112" t="s">
        <v>120</v>
      </c>
      <c r="E44" s="88"/>
      <c r="F44" s="31"/>
      <c r="G44" s="81"/>
    </row>
    <row r="45" spans="1:7" ht="15.75" thickBot="1">
      <c r="A45" s="89">
        <v>9</v>
      </c>
      <c r="B45" s="218" t="s">
        <v>63</v>
      </c>
      <c r="C45" s="218"/>
      <c r="D45" s="218"/>
      <c r="E45" s="90">
        <f>E37/E38*E39/E40/E41/E42*E43</f>
        <v>16.459862640418194</v>
      </c>
      <c r="F45" s="31"/>
      <c r="G45" s="81"/>
    </row>
    <row r="46" spans="1:7" ht="15">
      <c r="A46" s="43">
        <v>10</v>
      </c>
      <c r="B46" s="212" t="s">
        <v>64</v>
      </c>
      <c r="C46" s="212"/>
      <c r="D46" s="212"/>
      <c r="E46" s="174">
        <v>124544</v>
      </c>
      <c r="F46" s="31"/>
      <c r="G46" s="79"/>
    </row>
    <row r="47" spans="1:7" ht="15">
      <c r="A47" s="82">
        <v>11</v>
      </c>
      <c r="B47" s="213" t="s">
        <v>59</v>
      </c>
      <c r="C47" s="213"/>
      <c r="D47" s="213"/>
      <c r="E47" s="175">
        <v>3196.8</v>
      </c>
      <c r="F47" s="31"/>
      <c r="G47" s="81"/>
    </row>
    <row r="48" spans="1:7" ht="15">
      <c r="A48" s="82">
        <v>12</v>
      </c>
      <c r="B48" s="214" t="s">
        <v>60</v>
      </c>
      <c r="C48" s="214"/>
      <c r="D48" s="214"/>
      <c r="E48" s="180">
        <v>10.15</v>
      </c>
      <c r="F48" s="31"/>
      <c r="G48" s="84"/>
    </row>
    <row r="49" spans="1:7" ht="15">
      <c r="A49" s="82">
        <v>13</v>
      </c>
      <c r="B49" s="215" t="s">
        <v>61</v>
      </c>
      <c r="C49" s="216"/>
      <c r="D49" s="217"/>
      <c r="E49" s="83">
        <v>12</v>
      </c>
      <c r="F49" s="31"/>
      <c r="G49" s="86"/>
    </row>
    <row r="50" spans="1:7" ht="15">
      <c r="A50" s="82">
        <v>14</v>
      </c>
      <c r="B50" s="214" t="s">
        <v>62</v>
      </c>
      <c r="C50" s="214"/>
      <c r="D50" s="214"/>
      <c r="E50" s="85">
        <v>21</v>
      </c>
      <c r="F50" s="31"/>
      <c r="G50" s="86"/>
    </row>
    <row r="51" spans="1:7" ht="15">
      <c r="A51" s="82">
        <v>15</v>
      </c>
      <c r="B51" s="213" t="s">
        <v>107</v>
      </c>
      <c r="C51" s="213"/>
      <c r="D51" s="213"/>
      <c r="E51" s="83">
        <v>12</v>
      </c>
      <c r="F51" s="31"/>
      <c r="G51" s="81"/>
    </row>
    <row r="52" spans="1:7" ht="15">
      <c r="A52" s="82">
        <v>16</v>
      </c>
      <c r="B52" s="213" t="s">
        <v>129</v>
      </c>
      <c r="C52" s="213"/>
      <c r="D52" s="213"/>
      <c r="E52" s="83">
        <v>32</v>
      </c>
      <c r="F52" s="31"/>
      <c r="G52" s="81"/>
    </row>
    <row r="53" spans="1:7" ht="15" customHeight="1">
      <c r="A53" s="82">
        <v>17</v>
      </c>
      <c r="B53" s="110" t="s">
        <v>92</v>
      </c>
      <c r="C53" s="111">
        <f>E46</f>
        <v>124544</v>
      </c>
      <c r="D53" s="112" t="s">
        <v>120</v>
      </c>
      <c r="E53" s="88"/>
      <c r="F53" s="31"/>
      <c r="G53" s="81"/>
    </row>
    <row r="54" spans="1:7" ht="15.75" thickBot="1">
      <c r="A54" s="89">
        <v>18</v>
      </c>
      <c r="B54" s="219" t="s">
        <v>65</v>
      </c>
      <c r="C54" s="220"/>
      <c r="D54" s="221"/>
      <c r="E54" s="90">
        <f>E46/E47*E48/E49/E50/E51*E52</f>
        <v>4.18448077707337</v>
      </c>
      <c r="F54" s="31"/>
      <c r="G54" s="81"/>
    </row>
    <row r="55" spans="1:7" ht="15.75" thickBot="1">
      <c r="A55" s="91">
        <v>19</v>
      </c>
      <c r="B55" s="222" t="s">
        <v>66</v>
      </c>
      <c r="C55" s="223"/>
      <c r="D55" s="224"/>
      <c r="E55" s="92">
        <f>E45+E54</f>
        <v>20.644343417491562</v>
      </c>
      <c r="F55" s="117"/>
      <c r="G55" s="93"/>
    </row>
    <row r="56" spans="1:7" ht="15">
      <c r="A56" s="31"/>
      <c r="B56" s="31"/>
      <c r="C56" s="31"/>
      <c r="D56" s="31"/>
      <c r="E56" s="31"/>
      <c r="F56" s="31"/>
      <c r="G56" s="81"/>
    </row>
    <row r="57" spans="1:7" ht="15">
      <c r="A57" s="31"/>
      <c r="B57" s="31"/>
      <c r="C57" s="31"/>
      <c r="D57" s="31"/>
      <c r="E57" s="31"/>
      <c r="F57" s="31"/>
      <c r="G57" s="81"/>
    </row>
    <row r="58" spans="1:7" ht="15.75">
      <c r="A58" s="225" t="s">
        <v>67</v>
      </c>
      <c r="B58" s="225"/>
      <c r="C58" s="225"/>
      <c r="D58" s="225"/>
      <c r="E58" s="94"/>
      <c r="F58" s="94"/>
      <c r="G58" s="95"/>
    </row>
    <row r="59" spans="1:7" ht="15">
      <c r="A59" s="96" t="s">
        <v>68</v>
      </c>
      <c r="B59" s="226" t="s">
        <v>69</v>
      </c>
      <c r="C59" s="227"/>
      <c r="D59" s="228" t="s">
        <v>70</v>
      </c>
      <c r="E59" s="229"/>
      <c r="F59" s="31"/>
      <c r="G59" s="81"/>
    </row>
    <row r="60" spans="1:7" ht="33.75" customHeight="1">
      <c r="A60" s="76">
        <v>1</v>
      </c>
      <c r="B60" s="230" t="s">
        <v>71</v>
      </c>
      <c r="C60" s="231"/>
      <c r="D60" s="232">
        <f>E30+E32</f>
        <v>12675.360000026401</v>
      </c>
      <c r="E60" s="233"/>
      <c r="F60" s="31"/>
      <c r="G60" s="81"/>
    </row>
    <row r="61" spans="1:7" ht="32.25" customHeight="1">
      <c r="A61" s="76">
        <v>2</v>
      </c>
      <c r="B61" s="230" t="s">
        <v>72</v>
      </c>
      <c r="C61" s="231"/>
      <c r="D61" s="232">
        <f>E31+E33+E55</f>
        <v>9404.644343417493</v>
      </c>
      <c r="E61" s="234"/>
      <c r="F61" s="31"/>
      <c r="G61" s="81"/>
    </row>
    <row r="62" spans="1:7" ht="15">
      <c r="A62" s="76">
        <v>3</v>
      </c>
      <c r="B62" s="230" t="s">
        <v>73</v>
      </c>
      <c r="C62" s="231"/>
      <c r="D62" s="232">
        <v>0</v>
      </c>
      <c r="E62" s="233"/>
      <c r="F62" s="31"/>
      <c r="G62" s="31"/>
    </row>
    <row r="63" spans="1:7" ht="15">
      <c r="A63" s="76">
        <v>4</v>
      </c>
      <c r="B63" s="230" t="s">
        <v>74</v>
      </c>
      <c r="C63" s="231"/>
      <c r="D63" s="232">
        <f>G14</f>
        <v>24840</v>
      </c>
      <c r="E63" s="233"/>
      <c r="F63" s="31"/>
      <c r="G63" s="31"/>
    </row>
    <row r="64" spans="1:7" ht="15">
      <c r="A64" s="76">
        <v>5</v>
      </c>
      <c r="B64" s="215" t="s">
        <v>75</v>
      </c>
      <c r="C64" s="235"/>
      <c r="D64" s="232">
        <f>(D60+D61)/D63</f>
        <v>0.8888890637457283</v>
      </c>
      <c r="E64" s="233"/>
      <c r="F64" s="31"/>
      <c r="G64" s="31"/>
    </row>
    <row r="65" spans="1:7" ht="15">
      <c r="A65" s="76">
        <v>6</v>
      </c>
      <c r="B65" s="215" t="s">
        <v>76</v>
      </c>
      <c r="C65" s="235"/>
      <c r="D65" s="232">
        <f>G14</f>
        <v>24840</v>
      </c>
      <c r="E65" s="233"/>
      <c r="F65" s="31"/>
      <c r="G65" s="31"/>
    </row>
    <row r="66" spans="1:7" ht="15">
      <c r="A66" s="76">
        <v>7</v>
      </c>
      <c r="B66" s="215" t="s">
        <v>77</v>
      </c>
      <c r="C66" s="235"/>
      <c r="D66" s="236">
        <f>D64*D65</f>
        <v>22080.004343443892</v>
      </c>
      <c r="E66" s="237"/>
      <c r="F66" s="31"/>
      <c r="G66" s="31"/>
    </row>
    <row r="67" spans="1:7" ht="15">
      <c r="A67" s="81"/>
      <c r="B67" s="97"/>
      <c r="C67" s="97"/>
      <c r="D67" s="98"/>
      <c r="E67" s="98"/>
      <c r="F67" s="31"/>
      <c r="G67" s="31"/>
    </row>
    <row r="68" spans="1:7" ht="15">
      <c r="A68" s="31"/>
      <c r="B68" s="31"/>
      <c r="C68" s="31"/>
      <c r="D68" s="31"/>
      <c r="E68" s="31"/>
      <c r="F68" s="31"/>
      <c r="G68" s="31"/>
    </row>
    <row r="69" spans="1:7" ht="15.75">
      <c r="A69" s="225" t="s">
        <v>78</v>
      </c>
      <c r="B69" s="225"/>
      <c r="C69" s="225"/>
      <c r="D69" s="225"/>
      <c r="E69" s="94"/>
      <c r="F69" s="94"/>
      <c r="G69" s="31"/>
    </row>
    <row r="70" spans="1:7" ht="15">
      <c r="A70" s="96" t="s">
        <v>68</v>
      </c>
      <c r="B70" s="226" t="s">
        <v>69</v>
      </c>
      <c r="C70" s="227"/>
      <c r="D70" s="228" t="s">
        <v>70</v>
      </c>
      <c r="E70" s="229"/>
      <c r="F70" s="31"/>
      <c r="G70" s="31"/>
    </row>
    <row r="71" spans="1:7" ht="15">
      <c r="A71" s="76">
        <v>1</v>
      </c>
      <c r="B71" s="215" t="s">
        <v>79</v>
      </c>
      <c r="C71" s="235"/>
      <c r="D71" s="232">
        <f>G14</f>
        <v>24840</v>
      </c>
      <c r="E71" s="233"/>
      <c r="F71" s="31"/>
      <c r="G71" s="31"/>
    </row>
    <row r="72" spans="1:7" ht="15">
      <c r="A72" s="76">
        <v>2</v>
      </c>
      <c r="B72" s="215" t="s">
        <v>80</v>
      </c>
      <c r="C72" s="235"/>
      <c r="D72" s="232">
        <f>G19</f>
        <v>8280</v>
      </c>
      <c r="E72" s="233"/>
      <c r="F72" s="31"/>
      <c r="G72" s="31"/>
    </row>
    <row r="73" spans="1:7" ht="15">
      <c r="A73" s="76">
        <v>3</v>
      </c>
      <c r="B73" s="230" t="s">
        <v>81</v>
      </c>
      <c r="C73" s="231"/>
      <c r="D73" s="232">
        <f>D66</f>
        <v>22080.004343443892</v>
      </c>
      <c r="E73" s="233"/>
      <c r="F73" s="31"/>
      <c r="G73" s="31"/>
    </row>
    <row r="74" spans="1:7" ht="15">
      <c r="A74" s="76">
        <v>6</v>
      </c>
      <c r="B74" s="215" t="s">
        <v>82</v>
      </c>
      <c r="C74" s="235"/>
      <c r="D74" s="236">
        <f>D71+D72+D73</f>
        <v>55200.00434344389</v>
      </c>
      <c r="E74" s="237"/>
      <c r="F74" s="31"/>
      <c r="G74" s="31"/>
    </row>
    <row r="75" spans="1:7" ht="15">
      <c r="A75" s="76">
        <v>7</v>
      </c>
      <c r="B75" s="215" t="s">
        <v>83</v>
      </c>
      <c r="C75" s="235"/>
      <c r="D75" s="232">
        <f>C8</f>
        <v>46</v>
      </c>
      <c r="E75" s="233"/>
      <c r="F75" s="31"/>
      <c r="G75" s="31"/>
    </row>
    <row r="76" spans="1:7" ht="15">
      <c r="A76" s="76">
        <v>8</v>
      </c>
      <c r="B76" s="215" t="s">
        <v>84</v>
      </c>
      <c r="C76" s="235"/>
      <c r="D76" s="236">
        <f>D74/D75</f>
        <v>1200.0000944226933</v>
      </c>
      <c r="E76" s="237"/>
      <c r="F76" s="31"/>
      <c r="G76" s="31"/>
    </row>
    <row r="77" spans="1:7" ht="15">
      <c r="A77" s="31"/>
      <c r="B77" s="31"/>
      <c r="C77" s="31"/>
      <c r="D77" s="31"/>
      <c r="E77" s="31"/>
      <c r="F77" s="31"/>
      <c r="G77" s="31"/>
    </row>
    <row r="78" spans="1:7" ht="15">
      <c r="A78" s="197" t="s">
        <v>6</v>
      </c>
      <c r="B78" s="197"/>
      <c r="C78" s="31"/>
      <c r="D78" s="197" t="s">
        <v>119</v>
      </c>
      <c r="E78" s="197"/>
      <c r="F78" s="197"/>
      <c r="G78" s="31"/>
    </row>
  </sheetData>
  <sheetProtection/>
  <mergeCells count="65">
    <mergeCell ref="B76:C76"/>
    <mergeCell ref="D76:E76"/>
    <mergeCell ref="A78:B78"/>
    <mergeCell ref="D78:F78"/>
    <mergeCell ref="B73:C73"/>
    <mergeCell ref="D73:E73"/>
    <mergeCell ref="B74:C74"/>
    <mergeCell ref="D74:E74"/>
    <mergeCell ref="B75:C75"/>
    <mergeCell ref="D75:E75"/>
    <mergeCell ref="A69:D69"/>
    <mergeCell ref="B70:C70"/>
    <mergeCell ref="D70:E70"/>
    <mergeCell ref="B71:C71"/>
    <mergeCell ref="D71:E71"/>
    <mergeCell ref="B72:C72"/>
    <mergeCell ref="D72:E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5:D55"/>
    <mergeCell ref="A58:D58"/>
    <mergeCell ref="B59:C59"/>
    <mergeCell ref="D59:E59"/>
    <mergeCell ref="B60:C60"/>
    <mergeCell ref="D60:E60"/>
    <mergeCell ref="B48:D48"/>
    <mergeCell ref="B49:D49"/>
    <mergeCell ref="B50:D50"/>
    <mergeCell ref="B51:D51"/>
    <mergeCell ref="B52:D52"/>
    <mergeCell ref="B54:D54"/>
    <mergeCell ref="B41:D41"/>
    <mergeCell ref="B42:D42"/>
    <mergeCell ref="B43:D43"/>
    <mergeCell ref="B45:D45"/>
    <mergeCell ref="B46:D46"/>
    <mergeCell ref="B47:D47"/>
    <mergeCell ref="A34:B34"/>
    <mergeCell ref="A36:E36"/>
    <mergeCell ref="B37:D37"/>
    <mergeCell ref="B38:D38"/>
    <mergeCell ref="B39:D39"/>
    <mergeCell ref="B40:D40"/>
    <mergeCell ref="A10:G10"/>
    <mergeCell ref="A14:B14"/>
    <mergeCell ref="A16:G16"/>
    <mergeCell ref="A21:G21"/>
    <mergeCell ref="A26:B26"/>
    <mergeCell ref="A27:G27"/>
    <mergeCell ref="D1:G1"/>
    <mergeCell ref="D2:G2"/>
    <mergeCell ref="A3:G3"/>
    <mergeCell ref="A7:C7"/>
    <mergeCell ref="A8:B8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2020-11-05T09:19:19Z</cp:lastPrinted>
  <dcterms:created xsi:type="dcterms:W3CDTF">2010-12-08T21:56:16Z</dcterms:created>
  <dcterms:modified xsi:type="dcterms:W3CDTF">2020-11-19T09:37:22Z</dcterms:modified>
  <cp:category/>
  <cp:version/>
  <cp:contentType/>
  <cp:contentStatus/>
</cp:coreProperties>
</file>